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9320" windowHeight="99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Sheet1!$A$2:$K$85</definedName>
  </definedNames>
  <calcPr calcId="145621"/>
</workbook>
</file>

<file path=xl/calcChain.xml><?xml version="1.0" encoding="utf-8"?>
<calcChain xmlns="http://schemas.openxmlformats.org/spreadsheetml/2006/main">
  <c r="I20" i="1" l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14" i="1"/>
  <c r="I15" i="1"/>
  <c r="I16" i="1"/>
  <c r="I17" i="1"/>
  <c r="I18" i="1"/>
  <c r="I19" i="1"/>
  <c r="I12" i="1"/>
  <c r="I13" i="1"/>
  <c r="I8" i="1"/>
  <c r="I9" i="1"/>
  <c r="I10" i="1"/>
  <c r="I11" i="1"/>
  <c r="I7" i="1"/>
  <c r="J45" i="1" l="1"/>
  <c r="I56" i="1"/>
  <c r="D86" i="1" l="1"/>
  <c r="E79" i="1"/>
  <c r="F79" i="1" s="1"/>
  <c r="I79" i="1" s="1"/>
  <c r="E78" i="1"/>
  <c r="F78" i="1" s="1"/>
  <c r="E77" i="1"/>
  <c r="F77" i="1" s="1"/>
  <c r="E76" i="1"/>
  <c r="F76" i="1" s="1"/>
  <c r="I76" i="1" l="1"/>
  <c r="I77" i="1"/>
  <c r="I78" i="1"/>
  <c r="D83" i="1"/>
  <c r="I72" i="1"/>
  <c r="I71" i="1"/>
  <c r="I70" i="1"/>
  <c r="I69" i="1"/>
  <c r="I68" i="1"/>
  <c r="F53" i="1"/>
  <c r="I53" i="1" s="1"/>
  <c r="F50" i="1"/>
  <c r="I50" i="1" s="1"/>
  <c r="F49" i="1"/>
  <c r="I49" i="1" s="1"/>
  <c r="I51" i="1" l="1"/>
  <c r="I55" i="1"/>
  <c r="F52" i="1"/>
  <c r="I52" i="1" s="1"/>
  <c r="I54" i="1"/>
  <c r="F57" i="1"/>
  <c r="I57" i="1" s="1"/>
  <c r="I73" i="1"/>
  <c r="I58" i="1" l="1"/>
  <c r="F80" i="1"/>
  <c r="I60" i="1" l="1"/>
  <c r="J60" i="1" s="1"/>
  <c r="J58" i="1"/>
  <c r="I59" i="1"/>
  <c r="J59" i="1" s="1"/>
  <c r="I80" i="1"/>
  <c r="I81" i="1" s="1"/>
  <c r="K7" i="1" l="1"/>
</calcChain>
</file>

<file path=xl/sharedStrings.xml><?xml version="1.0" encoding="utf-8"?>
<sst xmlns="http://schemas.openxmlformats.org/spreadsheetml/2006/main" count="107" uniqueCount="100">
  <si>
    <t>Materials Cost</t>
  </si>
  <si>
    <t>Labor Cost</t>
  </si>
  <si>
    <t>Test Name:</t>
  </si>
  <si>
    <t>Normal Batch Size:</t>
  </si>
  <si>
    <t>Test Cost Template/Batch Basis</t>
  </si>
  <si>
    <t>Annual Test Volume:</t>
  </si>
  <si>
    <t>Year:</t>
  </si>
  <si>
    <t># of Batches/Yr:</t>
  </si>
  <si>
    <t>Other (gas, solvents, etc.):</t>
  </si>
  <si>
    <t>Sample Consumables (vials/caps, etc.):</t>
  </si>
  <si>
    <t>Analyst Sample Extraction</t>
  </si>
  <si>
    <t>Analyst Sample Prep</t>
  </si>
  <si>
    <t>Analyst QC/Instrument Prep</t>
  </si>
  <si>
    <t>Analyst Data Processing and Reporting</t>
  </si>
  <si>
    <t>Supervision/Management</t>
  </si>
  <si>
    <t>Hrs/week</t>
  </si>
  <si>
    <t>Hrs/batch</t>
  </si>
  <si>
    <t>Hrs/year</t>
  </si>
  <si>
    <t>$/Hour</t>
  </si>
  <si>
    <t>Position Title</t>
  </si>
  <si>
    <t>Cost/yr</t>
  </si>
  <si>
    <t>Cost/test</t>
  </si>
  <si>
    <t>Misc "shared" items (gloves, lab coats, etc.):</t>
  </si>
  <si>
    <t>$ per month</t>
  </si>
  <si>
    <t>Fringe Benefits:</t>
  </si>
  <si>
    <t>Indirect %:</t>
  </si>
  <si>
    <t>Lab Section:</t>
  </si>
  <si>
    <t>Direct Labor:</t>
  </si>
  <si>
    <t>Share of Lab Overhead:</t>
  </si>
  <si>
    <t>Lab-wide expenses</t>
  </si>
  <si>
    <t>Specimen Processing/Tech Services</t>
  </si>
  <si>
    <t>Administration</t>
  </si>
  <si>
    <t>OS&amp;M</t>
  </si>
  <si>
    <t>$ per year</t>
  </si>
  <si>
    <t>IT/LIMS (state funded portion)</t>
  </si>
  <si>
    <t>Avg # of tests per sample:</t>
  </si>
  <si>
    <t>Share of Section Overhead:</t>
  </si>
  <si>
    <t>Section Overhead</t>
  </si>
  <si>
    <t>ASSUMPTIONS</t>
  </si>
  <si>
    <t>GF</t>
  </si>
  <si>
    <t>Cost/yr/sample</t>
  </si>
  <si>
    <t>Less %</t>
  </si>
  <si>
    <t>of GF</t>
  </si>
  <si>
    <t>% of GF used to subsidize operations:</t>
  </si>
  <si>
    <t>Other Adjustment (+-1%)</t>
  </si>
  <si>
    <t>(PRE) Sample Kit Prep (in lab)</t>
  </si>
  <si>
    <t>(POST) Review Data and Report - weekly</t>
  </si>
  <si>
    <t>(POST) Review Data and Report - per batch</t>
  </si>
  <si>
    <t>(PRE) Sample Receiving, Storage (in lab)</t>
  </si>
  <si>
    <t>2013 FEE</t>
  </si>
  <si>
    <t>Virology/Immunology</t>
  </si>
  <si>
    <t>Instument calibrations/service</t>
  </si>
  <si>
    <t>pipette calibrations</t>
  </si>
  <si>
    <t>Lab Coats</t>
  </si>
  <si>
    <t>Pipette Calibration</t>
  </si>
  <si>
    <t>$</t>
  </si>
  <si>
    <t>Benchtop BioHazard ($3.1 per box, 1 box per wk)</t>
  </si>
  <si>
    <t>Lab Tech III</t>
  </si>
  <si>
    <t>Micro III</t>
  </si>
  <si>
    <t>Micro IV</t>
  </si>
  <si>
    <t>Micro II</t>
  </si>
  <si>
    <t>BioHazard Bags ($1.2 ea, 1per week)</t>
  </si>
  <si>
    <t xml:space="preserve"> </t>
  </si>
  <si>
    <t>6 hrs for 2 runs, 5.5 hrs for 1 run=29.5hrs/9batches=3.3hrs per batch but will use 8 hours per day</t>
  </si>
  <si>
    <t>Gloves 1 box =$29, 2 boxes per month)</t>
  </si>
  <si>
    <t>DMEM</t>
  </si>
  <si>
    <t>Media &amp; Reagents</t>
  </si>
  <si>
    <t>$/season</t>
  </si>
  <si>
    <t>FBS</t>
  </si>
  <si>
    <t>BSA</t>
  </si>
  <si>
    <t>Trypsin</t>
  </si>
  <si>
    <t>HEPES</t>
  </si>
  <si>
    <t>Antibiotic/Antimycotic</t>
  </si>
  <si>
    <t>Gentamicin</t>
  </si>
  <si>
    <t>TPCK trypsin</t>
  </si>
  <si>
    <t>Flasks</t>
  </si>
  <si>
    <t>Blood (turkey and GP)</t>
  </si>
  <si>
    <t>CDC influenza isolation</t>
  </si>
  <si>
    <t>PBS</t>
  </si>
  <si>
    <t>V-bottom plates</t>
  </si>
  <si>
    <t>U-bottom plates</t>
  </si>
  <si>
    <t>50 ml conicles</t>
  </si>
  <si>
    <t>Glycerol</t>
  </si>
  <si>
    <t>Labels</t>
  </si>
  <si>
    <t>Cryovials</t>
  </si>
  <si>
    <t>Reservoirs</t>
  </si>
  <si>
    <t>Dry Ice</t>
  </si>
  <si>
    <t>Zip lock bags</t>
  </si>
  <si>
    <t>Blue absorbent pads</t>
  </si>
  <si>
    <t>2012-2013</t>
  </si>
  <si>
    <t>Serological pipettes - 1ml</t>
  </si>
  <si>
    <t>Serological pipettes - 25ml</t>
  </si>
  <si>
    <t>Rainin pipette tips</t>
  </si>
  <si>
    <t>Liquid Nitrogen</t>
  </si>
  <si>
    <t>Pipette disposal boxes</t>
  </si>
  <si>
    <t>Material/Reagents:</t>
  </si>
  <si>
    <t>Micro I</t>
  </si>
  <si>
    <t>Ethanol</t>
  </si>
  <si>
    <t>General Lab Overhead</t>
  </si>
  <si>
    <t>Total # of samples per year: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</si>
</sst>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&quot;$&quot;#,##0.00"/>
    <numFmt numFmtId="165" formatCode="#,##0.000_);[Red]\(#,##0.000\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48">
    <xf numFmtId="0" fontId="0" fillId="0" borderId="0" xfId="0"/>
    <xf numFmtId="0" fontId="0" fillId="0" borderId="2" xfId="0" applyBorder="1"/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0" applyNumberFormat="1"/>
    <xf numFmtId="0" fontId="0" fillId="3" borderId="2" xfId="0" applyFill="1" applyBorder="1"/>
    <xf numFmtId="0" fontId="0" fillId="3" borderId="1" xfId="0" applyFill="1" applyBorder="1"/>
    <xf numFmtId="40" fontId="0" fillId="0" borderId="0" xfId="0" applyNumberFormat="1"/>
    <xf numFmtId="40" fontId="0" fillId="2" borderId="0" xfId="0" applyNumberFormat="1" applyFill="1"/>
    <xf numFmtId="40" fontId="0" fillId="3" borderId="1" xfId="0" applyNumberFormat="1" applyFill="1" applyBorder="1"/>
    <xf numFmtId="0" fontId="0" fillId="0" borderId="0" xfId="0" applyBorder="1"/>
    <xf numFmtId="0" fontId="0" fillId="2" borderId="0" xfId="0" applyFill="1" applyAlignment="1">
      <alignment horizontal="center"/>
    </xf>
    <xf numFmtId="40" fontId="0" fillId="2" borderId="0" xfId="0" applyNumberFormat="1" applyFill="1" applyAlignment="1">
      <alignment horizontal="center"/>
    </xf>
    <xf numFmtId="40" fontId="0" fillId="0" borderId="0" xfId="0" applyNumberFormat="1" applyFill="1" applyBorder="1"/>
    <xf numFmtId="0" fontId="0" fillId="0" borderId="0" xfId="0" applyFill="1" applyBorder="1"/>
    <xf numFmtId="40" fontId="0" fillId="5" borderId="6" xfId="0" applyNumberFormat="1" applyFill="1" applyBorder="1"/>
    <xf numFmtId="0" fontId="2" fillId="0" borderId="0" xfId="0" applyFont="1" applyAlignment="1">
      <alignment horizontal="right"/>
    </xf>
    <xf numFmtId="38" fontId="0" fillId="3" borderId="1" xfId="0" applyNumberFormat="1" applyFill="1" applyBorder="1"/>
    <xf numFmtId="38" fontId="4" fillId="0" borderId="0" xfId="0" applyNumberFormat="1" applyFont="1"/>
    <xf numFmtId="0" fontId="5" fillId="0" borderId="0" xfId="0" applyFont="1"/>
    <xf numFmtId="0" fontId="6" fillId="6" borderId="0" xfId="0" applyFont="1" applyFill="1"/>
    <xf numFmtId="0" fontId="2" fillId="7" borderId="0" xfId="0" applyFont="1" applyFill="1" applyBorder="1"/>
    <xf numFmtId="40" fontId="2" fillId="7" borderId="0" xfId="0" applyNumberFormat="1" applyFont="1" applyFill="1" applyBorder="1"/>
    <xf numFmtId="40" fontId="2" fillId="7" borderId="0" xfId="0" applyNumberFormat="1" applyFont="1" applyFill="1"/>
    <xf numFmtId="0" fontId="2" fillId="7" borderId="0" xfId="0" applyFont="1" applyFill="1"/>
    <xf numFmtId="38" fontId="2" fillId="7" borderId="0" xfId="0" applyNumberFormat="1" applyFont="1" applyFill="1" applyBorder="1"/>
    <xf numFmtId="165" fontId="0" fillId="0" borderId="0" xfId="0" applyNumberFormat="1"/>
    <xf numFmtId="0" fontId="3" fillId="3" borderId="1" xfId="0" applyFont="1" applyFill="1" applyBorder="1"/>
    <xf numFmtId="40" fontId="3" fillId="4" borderId="6" xfId="0" applyNumberFormat="1" applyFont="1" applyFill="1" applyBorder="1"/>
    <xf numFmtId="38" fontId="0" fillId="0" borderId="1" xfId="0" applyNumberFormat="1" applyFill="1" applyBorder="1"/>
    <xf numFmtId="38" fontId="0" fillId="0" borderId="0" xfId="0" applyNumberFormat="1" applyFill="1" applyBorder="1"/>
    <xf numFmtId="40" fontId="0" fillId="0" borderId="0" xfId="0" applyNumberFormat="1" applyFill="1"/>
    <xf numFmtId="164" fontId="0" fillId="5" borderId="0" xfId="0" applyNumberFormat="1" applyFill="1"/>
    <xf numFmtId="164" fontId="0" fillId="0" borderId="6" xfId="0" applyNumberFormat="1" applyFill="1" applyBorder="1"/>
    <xf numFmtId="40" fontId="0" fillId="0" borderId="6" xfId="0" applyNumberFormat="1" applyFill="1" applyBorder="1"/>
    <xf numFmtId="44" fontId="0" fillId="5" borderId="0" xfId="1" applyFont="1" applyFill="1"/>
    <xf numFmtId="0" fontId="0" fillId="0" borderId="0" xfId="0" applyFill="1"/>
    <xf numFmtId="0" fontId="2" fillId="0" borderId="0" xfId="0" applyFont="1" applyFill="1" applyAlignment="1">
      <alignment horizontal="right"/>
    </xf>
    <xf numFmtId="164" fontId="0" fillId="0" borderId="0" xfId="0" applyNumberFormat="1" applyFill="1"/>
    <xf numFmtId="0" fontId="0" fillId="0" borderId="7" xfId="0" applyFill="1" applyBorder="1"/>
    <xf numFmtId="40" fontId="0" fillId="0" borderId="7" xfId="0" applyNumberFormat="1" applyFill="1" applyBorder="1"/>
    <xf numFmtId="0" fontId="2" fillId="0" borderId="7" xfId="0" applyFont="1" applyFill="1" applyBorder="1" applyAlignment="1">
      <alignment horizontal="right"/>
    </xf>
    <xf numFmtId="164" fontId="0" fillId="0" borderId="7" xfId="0" applyNumberFormat="1" applyFill="1" applyBorder="1"/>
    <xf numFmtId="0" fontId="1" fillId="3" borderId="3" xfId="0" applyFont="1" applyFill="1" applyBorder="1" applyAlignment="1"/>
    <xf numFmtId="0" fontId="1" fillId="3" borderId="4" xfId="0" applyFont="1" applyFill="1" applyBorder="1" applyAlignment="1"/>
    <xf numFmtId="0" fontId="1" fillId="3" borderId="5" xfId="0" applyFont="1" applyFill="1" applyBorder="1" applyAlignment="1"/>
    <xf numFmtId="40" fontId="0" fillId="3" borderId="3" xfId="0" applyNumberFormat="1" applyFill="1" applyBorder="1" applyAlignment="1"/>
    <xf numFmtId="0" fontId="0" fillId="0" borderId="5" xfId="0" applyBorder="1" applyAlignment="1"/>
  </cellXfs>
  <cellStyles count="2">
    <cellStyle name="Currency" xfId="1" builtinId="4"/>
    <cellStyle name="Normal" xfId="0" builtinId="0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8"/>
  <sheetViews>
    <sheetView tabSelected="1" workbookViewId="0">
      <selection activeCell="C89" sqref="C89"/>
    </sheetView>
  </sheetViews>
  <sheetFormatPr defaultRowHeight="15" x14ac:dyDescent="0.25"/>
  <cols>
    <col min="1" max="1" width="8.140625" customWidth="1"/>
    <col min="2" max="2" width="3.42578125" customWidth="1"/>
    <col min="3" max="3" width="43.5703125" customWidth="1"/>
    <col min="4" max="4" width="11.7109375" style="7" customWidth="1"/>
    <col min="5" max="5" width="9.5703125" style="7" customWidth="1"/>
    <col min="6" max="6" width="11" style="7" customWidth="1"/>
    <col min="7" max="7" width="10.85546875" style="7" bestFit="1" customWidth="1"/>
    <col min="8" max="8" width="19.85546875" customWidth="1"/>
    <col min="9" max="9" width="11.42578125" customWidth="1"/>
    <col min="10" max="10" width="16" customWidth="1"/>
    <col min="11" max="11" width="14.28515625" bestFit="1" customWidth="1"/>
    <col min="12" max="12" width="1.85546875" customWidth="1"/>
  </cols>
  <sheetData>
    <row r="1" spans="1:11" ht="15.75" thickBot="1" x14ac:dyDescent="0.3"/>
    <row r="2" spans="1:11" ht="21.75" thickBot="1" x14ac:dyDescent="0.4">
      <c r="A2" s="20" t="s">
        <v>4</v>
      </c>
      <c r="B2" s="20"/>
      <c r="C2" s="20"/>
      <c r="D2" s="7" t="s">
        <v>26</v>
      </c>
      <c r="E2" s="46" t="s">
        <v>50</v>
      </c>
      <c r="F2" s="47"/>
      <c r="H2" t="s">
        <v>2</v>
      </c>
      <c r="I2" s="43" t="s">
        <v>77</v>
      </c>
      <c r="J2" s="44"/>
      <c r="K2" s="45"/>
    </row>
    <row r="3" spans="1:11" ht="15.75" thickBot="1" x14ac:dyDescent="0.3">
      <c r="H3" t="s">
        <v>3</v>
      </c>
      <c r="I3" s="5"/>
      <c r="J3" t="s">
        <v>7</v>
      </c>
      <c r="K3" s="1"/>
    </row>
    <row r="4" spans="1:11" ht="19.5" thickBot="1" x14ac:dyDescent="0.35">
      <c r="A4" s="19" t="s">
        <v>0</v>
      </c>
      <c r="H4" t="s">
        <v>5</v>
      </c>
      <c r="I4" s="6">
        <v>715</v>
      </c>
      <c r="J4" t="s">
        <v>6</v>
      </c>
      <c r="K4" s="6" t="s">
        <v>89</v>
      </c>
    </row>
    <row r="5" spans="1:11" x14ac:dyDescent="0.25">
      <c r="I5" s="14"/>
      <c r="K5" s="10"/>
    </row>
    <row r="6" spans="1:11" ht="15.75" thickBot="1" x14ac:dyDescent="0.3">
      <c r="B6" s="2" t="s">
        <v>66</v>
      </c>
      <c r="D6" s="8" t="s">
        <v>67</v>
      </c>
      <c r="I6" s="11" t="s">
        <v>21</v>
      </c>
      <c r="K6" s="11" t="s">
        <v>21</v>
      </c>
    </row>
    <row r="7" spans="1:11" ht="19.5" thickBot="1" x14ac:dyDescent="0.35">
      <c r="C7" s="6" t="s">
        <v>65</v>
      </c>
      <c r="D7" s="9">
        <v>1267</v>
      </c>
      <c r="I7" s="7">
        <f>D7/$I$4</f>
        <v>1.7720279720279721</v>
      </c>
      <c r="K7" s="28">
        <f>J45+J58+J59+J60</f>
        <v>114.24494048951051</v>
      </c>
    </row>
    <row r="8" spans="1:11" ht="15.75" thickBot="1" x14ac:dyDescent="0.3">
      <c r="C8" s="6" t="s">
        <v>68</v>
      </c>
      <c r="D8" s="9">
        <v>1743</v>
      </c>
      <c r="I8" s="7">
        <f t="shared" ref="I8:I44" si="0">D8/$I$4</f>
        <v>2.4377622377622377</v>
      </c>
    </row>
    <row r="9" spans="1:11" ht="15.75" thickBot="1" x14ac:dyDescent="0.3">
      <c r="C9" s="6" t="s">
        <v>69</v>
      </c>
      <c r="D9" s="9">
        <v>199.5</v>
      </c>
      <c r="I9" s="7">
        <f t="shared" si="0"/>
        <v>0.279020979020979</v>
      </c>
      <c r="K9" s="11" t="s">
        <v>49</v>
      </c>
    </row>
    <row r="10" spans="1:11" ht="19.5" thickBot="1" x14ac:dyDescent="0.35">
      <c r="C10" s="6" t="s">
        <v>71</v>
      </c>
      <c r="D10" s="9">
        <v>426.06</v>
      </c>
      <c r="I10" s="7">
        <f t="shared" si="0"/>
        <v>0.59588811188811186</v>
      </c>
      <c r="K10" s="27">
        <v>100</v>
      </c>
    </row>
    <row r="11" spans="1:11" ht="15.75" thickBot="1" x14ac:dyDescent="0.3">
      <c r="C11" s="6" t="s">
        <v>72</v>
      </c>
      <c r="D11" s="9">
        <v>138.77000000000001</v>
      </c>
      <c r="I11" s="7">
        <f t="shared" si="0"/>
        <v>0.19408391608391609</v>
      </c>
    </row>
    <row r="12" spans="1:11" ht="15.75" thickBot="1" x14ac:dyDescent="0.3">
      <c r="C12" s="6" t="s">
        <v>73</v>
      </c>
      <c r="D12" s="9">
        <v>201.5</v>
      </c>
      <c r="I12" s="7">
        <f>D12/$I$4</f>
        <v>0.2818181818181818</v>
      </c>
    </row>
    <row r="13" spans="1:11" ht="15.75" thickBot="1" x14ac:dyDescent="0.3">
      <c r="C13" s="6" t="s">
        <v>70</v>
      </c>
      <c r="D13" s="9">
        <v>430.96</v>
      </c>
      <c r="I13" s="7">
        <f t="shared" si="0"/>
        <v>0.60274125874125872</v>
      </c>
    </row>
    <row r="14" spans="1:11" ht="15.75" thickBot="1" x14ac:dyDescent="0.3">
      <c r="C14" s="6" t="s">
        <v>74</v>
      </c>
      <c r="D14" s="9">
        <v>157</v>
      </c>
      <c r="I14" s="7">
        <f>D14/$I$4</f>
        <v>0.21958041958041957</v>
      </c>
    </row>
    <row r="15" spans="1:11" ht="15.75" thickBot="1" x14ac:dyDescent="0.3">
      <c r="C15" s="6" t="s">
        <v>76</v>
      </c>
      <c r="D15" s="9">
        <v>8268</v>
      </c>
      <c r="I15" s="7">
        <f t="shared" si="0"/>
        <v>11.563636363636364</v>
      </c>
    </row>
    <row r="16" spans="1:11" ht="15.75" thickBot="1" x14ac:dyDescent="0.3">
      <c r="C16" s="6" t="s">
        <v>78</v>
      </c>
      <c r="D16" s="9">
        <v>906</v>
      </c>
      <c r="I16" s="7">
        <f t="shared" si="0"/>
        <v>1.2671328671328672</v>
      </c>
    </row>
    <row r="17" spans="2:9" ht="15.75" thickBot="1" x14ac:dyDescent="0.3">
      <c r="C17" s="6" t="s">
        <v>82</v>
      </c>
      <c r="D17" s="9">
        <v>22.6</v>
      </c>
      <c r="I17" s="7">
        <f t="shared" si="0"/>
        <v>3.1608391608391607E-2</v>
      </c>
    </row>
    <row r="18" spans="2:9" ht="15.75" thickBot="1" x14ac:dyDescent="0.3">
      <c r="C18" s="6"/>
      <c r="D18" s="9"/>
      <c r="I18" s="7">
        <f t="shared" si="0"/>
        <v>0</v>
      </c>
    </row>
    <row r="19" spans="2:9" ht="15.75" thickBot="1" x14ac:dyDescent="0.3">
      <c r="C19" s="6"/>
      <c r="D19" s="9"/>
      <c r="I19" s="7">
        <f>D19/$I$4</f>
        <v>0</v>
      </c>
    </row>
    <row r="20" spans="2:9" ht="15.75" thickBot="1" x14ac:dyDescent="0.3">
      <c r="C20" s="6"/>
      <c r="D20" s="9"/>
      <c r="I20" s="7">
        <f t="shared" ref="I20" si="1">D20/$I$4</f>
        <v>0</v>
      </c>
    </row>
    <row r="21" spans="2:9" ht="15.75" thickBot="1" x14ac:dyDescent="0.3">
      <c r="B21" s="2" t="s">
        <v>9</v>
      </c>
      <c r="I21" s="7">
        <f t="shared" si="0"/>
        <v>0</v>
      </c>
    </row>
    <row r="22" spans="2:9" ht="15.75" thickBot="1" x14ac:dyDescent="0.3">
      <c r="C22" s="6" t="s">
        <v>75</v>
      </c>
      <c r="D22" s="9">
        <v>6867</v>
      </c>
      <c r="I22" s="7">
        <f t="shared" si="0"/>
        <v>9.604195804195804</v>
      </c>
    </row>
    <row r="23" spans="2:9" ht="15.75" thickBot="1" x14ac:dyDescent="0.3">
      <c r="C23" s="6" t="s">
        <v>91</v>
      </c>
      <c r="D23" s="9">
        <v>3003</v>
      </c>
      <c r="I23" s="7">
        <f t="shared" si="0"/>
        <v>4.2</v>
      </c>
    </row>
    <row r="24" spans="2:9" ht="15.75" thickBot="1" x14ac:dyDescent="0.3">
      <c r="C24" s="6" t="s">
        <v>90</v>
      </c>
      <c r="D24" s="9">
        <v>964.36</v>
      </c>
      <c r="I24" s="7">
        <f t="shared" si="0"/>
        <v>1.3487552447552447</v>
      </c>
    </row>
    <row r="25" spans="2:9" ht="15.75" thickBot="1" x14ac:dyDescent="0.3">
      <c r="C25" s="6" t="s">
        <v>80</v>
      </c>
      <c r="D25" s="9">
        <v>211.7</v>
      </c>
      <c r="I25" s="7">
        <f t="shared" si="0"/>
        <v>0.29608391608391604</v>
      </c>
    </row>
    <row r="26" spans="2:9" ht="15.75" thickBot="1" x14ac:dyDescent="0.3">
      <c r="C26" s="6" t="s">
        <v>79</v>
      </c>
      <c r="D26" s="9">
        <v>423.4</v>
      </c>
      <c r="I26" s="7">
        <f t="shared" si="0"/>
        <v>0.59216783216783209</v>
      </c>
    </row>
    <row r="27" spans="2:9" ht="15.75" thickBot="1" x14ac:dyDescent="0.3">
      <c r="C27" s="6" t="s">
        <v>81</v>
      </c>
      <c r="D27" s="9">
        <v>727.5</v>
      </c>
      <c r="I27" s="7">
        <f t="shared" si="0"/>
        <v>1.0174825174825175</v>
      </c>
    </row>
    <row r="28" spans="2:9" ht="15.75" thickBot="1" x14ac:dyDescent="0.3">
      <c r="C28" s="6" t="s">
        <v>83</v>
      </c>
      <c r="D28" s="9">
        <v>469.68</v>
      </c>
      <c r="I28" s="7">
        <f t="shared" si="0"/>
        <v>0.65689510489510494</v>
      </c>
    </row>
    <row r="29" spans="2:9" ht="15.75" thickBot="1" x14ac:dyDescent="0.3">
      <c r="C29" s="6" t="s">
        <v>84</v>
      </c>
      <c r="D29" s="9">
        <v>2751.82</v>
      </c>
      <c r="I29" s="7">
        <f t="shared" si="0"/>
        <v>3.8486993006993009</v>
      </c>
    </row>
    <row r="30" spans="2:9" ht="15.75" thickBot="1" x14ac:dyDescent="0.3">
      <c r="C30" s="6" t="s">
        <v>85</v>
      </c>
      <c r="D30" s="9">
        <v>256.02</v>
      </c>
      <c r="I30" s="7">
        <f t="shared" si="0"/>
        <v>0.35806993006993004</v>
      </c>
    </row>
    <row r="31" spans="2:9" ht="15.75" thickBot="1" x14ac:dyDescent="0.3">
      <c r="C31" s="6" t="s">
        <v>87</v>
      </c>
      <c r="D31" s="9">
        <v>49.64</v>
      </c>
      <c r="I31" s="7">
        <f t="shared" si="0"/>
        <v>6.9426573426573421E-2</v>
      </c>
    </row>
    <row r="32" spans="2:9" ht="15.75" thickBot="1" x14ac:dyDescent="0.3">
      <c r="C32" s="6" t="s">
        <v>88</v>
      </c>
      <c r="D32" s="9">
        <v>291</v>
      </c>
      <c r="I32" s="7">
        <f t="shared" si="0"/>
        <v>0.406993006993007</v>
      </c>
    </row>
    <row r="33" spans="1:10" ht="15.75" thickBot="1" x14ac:dyDescent="0.3">
      <c r="C33" s="6" t="s">
        <v>92</v>
      </c>
      <c r="D33" s="9">
        <v>191.8</v>
      </c>
      <c r="I33" s="7">
        <f t="shared" si="0"/>
        <v>0.26825174825174825</v>
      </c>
    </row>
    <row r="34" spans="1:10" ht="15.75" thickBot="1" x14ac:dyDescent="0.3">
      <c r="C34" s="6" t="s">
        <v>94</v>
      </c>
      <c r="D34" s="9">
        <v>330.3</v>
      </c>
      <c r="I34" s="7">
        <f t="shared" si="0"/>
        <v>0.46195804195804197</v>
      </c>
    </row>
    <row r="35" spans="1:10" x14ac:dyDescent="0.25">
      <c r="B35" s="2"/>
      <c r="I35" s="7">
        <f t="shared" si="0"/>
        <v>0</v>
      </c>
    </row>
    <row r="36" spans="1:10" ht="15.75" thickBot="1" x14ac:dyDescent="0.3">
      <c r="B36" s="2" t="s">
        <v>8</v>
      </c>
      <c r="I36" s="7">
        <f t="shared" si="0"/>
        <v>0</v>
      </c>
    </row>
    <row r="37" spans="1:10" ht="15.75" thickBot="1" x14ac:dyDescent="0.3">
      <c r="C37" s="6" t="s">
        <v>86</v>
      </c>
      <c r="D37" s="9">
        <v>387</v>
      </c>
      <c r="I37" s="7">
        <f t="shared" si="0"/>
        <v>0.54125874125874129</v>
      </c>
    </row>
    <row r="38" spans="1:10" ht="15.75" thickBot="1" x14ac:dyDescent="0.3">
      <c r="C38" s="6" t="s">
        <v>93</v>
      </c>
      <c r="D38" s="9"/>
      <c r="H38" s="16"/>
      <c r="I38" s="7">
        <f t="shared" si="0"/>
        <v>0</v>
      </c>
    </row>
    <row r="39" spans="1:10" ht="15.75" thickBot="1" x14ac:dyDescent="0.3">
      <c r="C39" s="6" t="s">
        <v>97</v>
      </c>
      <c r="D39" s="9"/>
      <c r="I39" s="7">
        <f t="shared" si="0"/>
        <v>0</v>
      </c>
    </row>
    <row r="40" spans="1:10" ht="15.75" thickBot="1" x14ac:dyDescent="0.3">
      <c r="C40" s="6"/>
      <c r="D40" s="9"/>
      <c r="I40" s="7">
        <f t="shared" si="0"/>
        <v>0</v>
      </c>
    </row>
    <row r="41" spans="1:10" ht="15.75" thickBot="1" x14ac:dyDescent="0.3">
      <c r="C41" s="6"/>
      <c r="D41" s="9"/>
      <c r="I41" s="7">
        <f t="shared" si="0"/>
        <v>0</v>
      </c>
    </row>
    <row r="42" spans="1:10" ht="15.75" thickBot="1" x14ac:dyDescent="0.3">
      <c r="C42" s="6"/>
      <c r="D42" s="9"/>
      <c r="I42" s="7">
        <f t="shared" si="0"/>
        <v>0</v>
      </c>
    </row>
    <row r="43" spans="1:10" ht="15.75" thickBot="1" x14ac:dyDescent="0.3">
      <c r="C43" s="6"/>
      <c r="D43" s="9"/>
      <c r="I43" s="7">
        <f t="shared" si="0"/>
        <v>0</v>
      </c>
    </row>
    <row r="44" spans="1:10" ht="15.75" thickBot="1" x14ac:dyDescent="0.3">
      <c r="C44" s="6"/>
      <c r="D44" s="9"/>
      <c r="I44" s="7">
        <f t="shared" si="0"/>
        <v>0</v>
      </c>
    </row>
    <row r="45" spans="1:10" x14ac:dyDescent="0.25">
      <c r="C45" s="14"/>
      <c r="D45" s="13"/>
      <c r="H45" t="s">
        <v>95</v>
      </c>
      <c r="J45" s="35">
        <f>SUM(I7:I44)</f>
        <v>42.915538461538475</v>
      </c>
    </row>
    <row r="46" spans="1:10" x14ac:dyDescent="0.25">
      <c r="C46" s="14"/>
      <c r="D46" s="13"/>
      <c r="I46" s="7"/>
    </row>
    <row r="47" spans="1:10" x14ac:dyDescent="0.25">
      <c r="C47" s="14"/>
      <c r="D47" s="13"/>
      <c r="I47" s="7"/>
    </row>
    <row r="48" spans="1:10" s="3" customFormat="1" ht="15.75" thickBot="1" x14ac:dyDescent="0.3">
      <c r="A48"/>
      <c r="B48"/>
      <c r="C48"/>
      <c r="D48" s="13"/>
      <c r="E48" s="12" t="s">
        <v>16</v>
      </c>
      <c r="F48" s="12" t="s">
        <v>17</v>
      </c>
      <c r="G48" s="12" t="s">
        <v>18</v>
      </c>
      <c r="H48" s="11" t="s">
        <v>19</v>
      </c>
      <c r="I48" s="11" t="s">
        <v>20</v>
      </c>
    </row>
    <row r="49" spans="1:10" ht="15.75" thickBot="1" x14ac:dyDescent="0.3">
      <c r="D49" s="13"/>
      <c r="F49" s="7">
        <f>(D52)*26</f>
        <v>0</v>
      </c>
      <c r="G49" s="9">
        <v>12.58</v>
      </c>
      <c r="H49" s="6" t="s">
        <v>57</v>
      </c>
      <c r="I49" s="4">
        <f>(F49)*(G49)</f>
        <v>0</v>
      </c>
    </row>
    <row r="50" spans="1:10" ht="19.5" thickBot="1" x14ac:dyDescent="0.35">
      <c r="A50" s="19" t="s">
        <v>1</v>
      </c>
      <c r="C50" t="s">
        <v>63</v>
      </c>
      <c r="F50" s="7">
        <f>(D53)*26</f>
        <v>0</v>
      </c>
      <c r="G50" s="9">
        <v>12.58</v>
      </c>
      <c r="H50" s="6" t="s">
        <v>57</v>
      </c>
      <c r="I50" s="4">
        <f t="shared" ref="I50:I57" si="2">(F50)*(G50)</f>
        <v>0</v>
      </c>
    </row>
    <row r="51" spans="1:10" ht="15.75" thickBot="1" x14ac:dyDescent="0.3">
      <c r="A51" s="3"/>
      <c r="B51" s="3"/>
      <c r="C51" s="3"/>
      <c r="D51" s="12" t="s">
        <v>15</v>
      </c>
      <c r="E51" s="9"/>
      <c r="F51" s="7">
        <v>6</v>
      </c>
      <c r="G51" s="9">
        <v>18.559999999999999</v>
      </c>
      <c r="H51" s="6" t="s">
        <v>96</v>
      </c>
      <c r="I51" s="4">
        <f t="shared" si="2"/>
        <v>111.35999999999999</v>
      </c>
    </row>
    <row r="52" spans="1:10" ht="15.75" thickBot="1" x14ac:dyDescent="0.3">
      <c r="B52">
        <v>1</v>
      </c>
      <c r="C52" t="s">
        <v>45</v>
      </c>
      <c r="D52" s="9"/>
      <c r="E52" s="9"/>
      <c r="F52" s="7">
        <f t="shared" ref="F52:F57" si="3">(E52)*$K$3</f>
        <v>0</v>
      </c>
      <c r="G52" s="9">
        <v>21.12</v>
      </c>
      <c r="H52" s="6" t="s">
        <v>60</v>
      </c>
      <c r="I52" s="4">
        <f t="shared" si="2"/>
        <v>0</v>
      </c>
    </row>
    <row r="53" spans="1:10" ht="15.75" thickBot="1" x14ac:dyDescent="0.3">
      <c r="B53">
        <v>2</v>
      </c>
      <c r="C53" t="s">
        <v>48</v>
      </c>
      <c r="D53" s="9"/>
      <c r="E53" s="9"/>
      <c r="F53" s="7">
        <f t="shared" si="3"/>
        <v>0</v>
      </c>
      <c r="G53" s="9">
        <v>21.12</v>
      </c>
      <c r="H53" s="6" t="s">
        <v>60</v>
      </c>
      <c r="I53" s="4">
        <f t="shared" si="2"/>
        <v>0</v>
      </c>
    </row>
    <row r="54" spans="1:10" ht="15.75" thickBot="1" x14ac:dyDescent="0.3">
      <c r="B54">
        <v>3</v>
      </c>
      <c r="C54" t="s">
        <v>10</v>
      </c>
      <c r="E54" s="9"/>
      <c r="F54" s="7">
        <v>967.5</v>
      </c>
      <c r="G54" s="9">
        <v>21.33</v>
      </c>
      <c r="H54" s="6" t="s">
        <v>60</v>
      </c>
      <c r="I54" s="4">
        <f t="shared" si="2"/>
        <v>20636.774999999998</v>
      </c>
    </row>
    <row r="55" spans="1:10" ht="15.75" thickBot="1" x14ac:dyDescent="0.3">
      <c r="B55">
        <v>4</v>
      </c>
      <c r="C55" t="s">
        <v>11</v>
      </c>
      <c r="E55" s="9"/>
      <c r="F55" s="7">
        <v>387</v>
      </c>
      <c r="G55" s="9">
        <v>25.3</v>
      </c>
      <c r="H55" s="6" t="s">
        <v>58</v>
      </c>
      <c r="I55" s="4">
        <f t="shared" si="2"/>
        <v>9791.1</v>
      </c>
    </row>
    <row r="56" spans="1:10" ht="15.75" thickBot="1" x14ac:dyDescent="0.3">
      <c r="B56">
        <v>5</v>
      </c>
      <c r="C56" t="s">
        <v>12</v>
      </c>
      <c r="F56" s="7">
        <v>0</v>
      </c>
      <c r="G56" s="9">
        <v>22.85</v>
      </c>
      <c r="H56" s="6" t="s">
        <v>58</v>
      </c>
      <c r="I56" s="4">
        <f t="shared" ref="I56" si="4">(F56)*(G56)</f>
        <v>0</v>
      </c>
    </row>
    <row r="57" spans="1:10" ht="15.75" thickBot="1" x14ac:dyDescent="0.3">
      <c r="B57">
        <v>6</v>
      </c>
      <c r="C57" t="s">
        <v>13</v>
      </c>
      <c r="E57" s="9"/>
      <c r="F57" s="7">
        <f t="shared" si="3"/>
        <v>0</v>
      </c>
      <c r="G57" s="9">
        <v>25.47</v>
      </c>
      <c r="H57" s="6" t="s">
        <v>59</v>
      </c>
      <c r="I57" s="4">
        <f t="shared" si="2"/>
        <v>0</v>
      </c>
      <c r="J57" t="s">
        <v>62</v>
      </c>
    </row>
    <row r="58" spans="1:10" ht="15.75" thickBot="1" x14ac:dyDescent="0.3">
      <c r="B58">
        <v>7</v>
      </c>
      <c r="C58" t="s">
        <v>47</v>
      </c>
      <c r="H58" s="16" t="s">
        <v>27</v>
      </c>
      <c r="I58" s="33">
        <f>SUM(I49:I57)</f>
        <v>30539.235000000001</v>
      </c>
      <c r="J58" s="32">
        <f>I58/$I$4</f>
        <v>42.712216783216782</v>
      </c>
    </row>
    <row r="59" spans="1:10" ht="15.75" thickBot="1" x14ac:dyDescent="0.3">
      <c r="B59">
        <v>8</v>
      </c>
      <c r="C59" t="s">
        <v>46</v>
      </c>
      <c r="D59" s="9"/>
      <c r="H59" s="16" t="s">
        <v>24</v>
      </c>
      <c r="I59" s="34">
        <f>(I58)*0.55</f>
        <v>16796.579250000003</v>
      </c>
      <c r="J59" s="32">
        <f t="shared" ref="J59:J60" si="5">I59/$I$4</f>
        <v>23.491719230769235</v>
      </c>
    </row>
    <row r="60" spans="1:10" x14ac:dyDescent="0.25">
      <c r="B60">
        <v>9</v>
      </c>
      <c r="C60" t="s">
        <v>14</v>
      </c>
      <c r="H60" s="16" t="s">
        <v>25</v>
      </c>
      <c r="I60" s="34">
        <f>(I58)*0.12</f>
        <v>3664.7082</v>
      </c>
      <c r="J60" s="32">
        <f t="shared" si="5"/>
        <v>5.1254660139860144</v>
      </c>
    </row>
    <row r="61" spans="1:10" s="36" customFormat="1" x14ac:dyDescent="0.25">
      <c r="D61" s="31"/>
      <c r="E61" s="31"/>
      <c r="F61" s="31"/>
      <c r="G61" s="31"/>
      <c r="H61" s="37"/>
      <c r="I61" s="13"/>
      <c r="J61" s="38"/>
    </row>
    <row r="62" spans="1:10" s="36" customFormat="1" x14ac:dyDescent="0.25">
      <c r="D62" s="31"/>
      <c r="E62" s="31"/>
      <c r="F62" s="31"/>
      <c r="G62" s="31"/>
      <c r="H62" s="37"/>
      <c r="I62" s="13"/>
      <c r="J62" s="38"/>
    </row>
    <row r="63" spans="1:10" s="36" customFormat="1" x14ac:dyDescent="0.25">
      <c r="D63" s="31"/>
      <c r="E63" s="31"/>
      <c r="F63" s="31"/>
      <c r="G63" s="31"/>
      <c r="H63" s="37"/>
      <c r="I63" s="13"/>
      <c r="J63" s="38"/>
    </row>
    <row r="64" spans="1:10" s="36" customFormat="1" x14ac:dyDescent="0.25">
      <c r="D64" s="31"/>
      <c r="E64" s="31"/>
      <c r="F64" s="31"/>
      <c r="G64" s="31"/>
      <c r="H64" s="37"/>
      <c r="I64" s="13"/>
      <c r="J64" s="38"/>
    </row>
    <row r="65" spans="1:10" s="36" customFormat="1" x14ac:dyDescent="0.25">
      <c r="A65" s="39"/>
      <c r="B65" s="39"/>
      <c r="C65" s="39"/>
      <c r="D65" s="40"/>
      <c r="E65" s="40"/>
      <c r="F65" s="40"/>
      <c r="G65" s="40"/>
      <c r="H65" s="41"/>
      <c r="I65" s="40"/>
      <c r="J65" s="42"/>
    </row>
    <row r="67" spans="1:10" x14ac:dyDescent="0.25">
      <c r="I67" s="11" t="s">
        <v>20</v>
      </c>
    </row>
    <row r="68" spans="1:10" x14ac:dyDescent="0.25">
      <c r="I68" s="7">
        <f>(D71)*(12)</f>
        <v>696</v>
      </c>
    </row>
    <row r="69" spans="1:10" ht="18.75" x14ac:dyDescent="0.3">
      <c r="A69" s="19" t="s">
        <v>37</v>
      </c>
      <c r="I69" s="7">
        <f>(D72)*(12)</f>
        <v>0</v>
      </c>
    </row>
    <row r="70" spans="1:10" ht="15.75" thickBot="1" x14ac:dyDescent="0.3">
      <c r="B70" s="2" t="s">
        <v>22</v>
      </c>
      <c r="D70" s="8" t="s">
        <v>23</v>
      </c>
      <c r="I70" s="7">
        <f>(D73)*(12)</f>
        <v>0</v>
      </c>
    </row>
    <row r="71" spans="1:10" ht="15.75" thickBot="1" x14ac:dyDescent="0.3">
      <c r="A71" t="s">
        <v>51</v>
      </c>
      <c r="B71">
        <v>1</v>
      </c>
      <c r="C71" s="6" t="s">
        <v>64</v>
      </c>
      <c r="D71" s="9">
        <v>58</v>
      </c>
      <c r="I71" s="7">
        <f>(D74)*(12)</f>
        <v>148.80000000000001</v>
      </c>
    </row>
    <row r="72" spans="1:10" ht="15.75" thickBot="1" x14ac:dyDescent="0.3">
      <c r="A72" t="s">
        <v>52</v>
      </c>
      <c r="B72">
        <v>2</v>
      </c>
      <c r="C72" s="6" t="s">
        <v>53</v>
      </c>
      <c r="D72" s="9"/>
      <c r="I72" s="7">
        <f>(D75)*(12)</f>
        <v>57.599999999999994</v>
      </c>
    </row>
    <row r="73" spans="1:10" ht="15.75" thickBot="1" x14ac:dyDescent="0.3">
      <c r="B73">
        <v>3</v>
      </c>
      <c r="C73" s="6" t="s">
        <v>54</v>
      </c>
      <c r="D73" s="9"/>
      <c r="G73"/>
      <c r="H73" s="16" t="s">
        <v>36</v>
      </c>
      <c r="I73" s="15">
        <f>SUM(I68:I72)</f>
        <v>902.4</v>
      </c>
    </row>
    <row r="74" spans="1:10" ht="15.75" thickBot="1" x14ac:dyDescent="0.3">
      <c r="A74" t="s">
        <v>55</v>
      </c>
      <c r="B74">
        <v>4</v>
      </c>
      <c r="C74" s="6" t="s">
        <v>56</v>
      </c>
      <c r="D74" s="9">
        <v>12.4</v>
      </c>
      <c r="E74" s="12" t="s">
        <v>41</v>
      </c>
    </row>
    <row r="75" spans="1:10" ht="15.75" thickBot="1" x14ac:dyDescent="0.3">
      <c r="B75">
        <v>5</v>
      </c>
      <c r="C75" s="6" t="s">
        <v>61</v>
      </c>
      <c r="D75" s="9">
        <v>4.8</v>
      </c>
      <c r="E75" s="12" t="s">
        <v>42</v>
      </c>
      <c r="F75" s="8" t="s">
        <v>33</v>
      </c>
      <c r="G75" s="12" t="s">
        <v>39</v>
      </c>
      <c r="I75" s="11" t="s">
        <v>40</v>
      </c>
    </row>
    <row r="76" spans="1:10" x14ac:dyDescent="0.25">
      <c r="C76" s="7"/>
      <c r="E76" s="18">
        <f>(G76)*($D$88)</f>
        <v>285582</v>
      </c>
      <c r="F76" s="30">
        <f>(D79)-(E76)</f>
        <v>240718</v>
      </c>
      <c r="G76" s="18">
        <v>432700</v>
      </c>
      <c r="I76" s="26">
        <f>(F76)/(D86)</f>
        <v>1.2669368421052631</v>
      </c>
    </row>
    <row r="77" spans="1:10" ht="18.75" x14ac:dyDescent="0.3">
      <c r="A77" s="19" t="s">
        <v>98</v>
      </c>
      <c r="E77" s="18">
        <f t="shared" ref="E77:E79" si="6">(G77)*($D$88)</f>
        <v>0</v>
      </c>
      <c r="F77" s="30">
        <f>(D80)-(E77)</f>
        <v>424200</v>
      </c>
      <c r="G77" s="18">
        <v>0</v>
      </c>
      <c r="I77" s="26">
        <f>(F77)/($D$86)/($D$87)</f>
        <v>0.49614035087719294</v>
      </c>
    </row>
    <row r="78" spans="1:10" ht="15.75" thickBot="1" x14ac:dyDescent="0.3">
      <c r="B78" s="2" t="s">
        <v>29</v>
      </c>
      <c r="D78" s="8" t="s">
        <v>33</v>
      </c>
      <c r="E78" s="18">
        <f t="shared" si="6"/>
        <v>342738</v>
      </c>
      <c r="F78" s="30">
        <f>(D81)-(E78)</f>
        <v>176562</v>
      </c>
      <c r="G78" s="18">
        <v>519300</v>
      </c>
      <c r="I78" s="26">
        <f>(F78)/($D$86)/($D$87)</f>
        <v>0.20650526315789475</v>
      </c>
    </row>
    <row r="79" spans="1:10" ht="15.75" thickBot="1" x14ac:dyDescent="0.3">
      <c r="B79">
        <v>1</v>
      </c>
      <c r="C79" t="s">
        <v>30</v>
      </c>
      <c r="D79" s="17">
        <v>526300</v>
      </c>
      <c r="E79" s="18">
        <f t="shared" si="6"/>
        <v>340560</v>
      </c>
      <c r="F79" s="30">
        <f>(D82)-(E79)</f>
        <v>175440</v>
      </c>
      <c r="G79" s="18">
        <v>516000</v>
      </c>
      <c r="I79" s="26">
        <f>(F79)/($D$86)/($D$87)</f>
        <v>0.20519298245614037</v>
      </c>
    </row>
    <row r="80" spans="1:10" ht="15.75" thickBot="1" x14ac:dyDescent="0.3">
      <c r="B80">
        <v>2</v>
      </c>
      <c r="C80" t="s">
        <v>34</v>
      </c>
      <c r="D80" s="17">
        <v>424200</v>
      </c>
      <c r="E80" s="18"/>
      <c r="F80" s="30">
        <f>(D83)-(E80)</f>
        <v>10169.200000000001</v>
      </c>
      <c r="G80" s="18"/>
      <c r="I80" s="26">
        <f>(F80)/($D$86)/($D$87)</f>
        <v>1.1893801169590644E-2</v>
      </c>
    </row>
    <row r="81" spans="1:9" ht="15.75" thickBot="1" x14ac:dyDescent="0.3">
      <c r="B81">
        <v>3</v>
      </c>
      <c r="C81" t="s">
        <v>31</v>
      </c>
      <c r="D81" s="17">
        <v>519300</v>
      </c>
      <c r="H81" s="16" t="s">
        <v>28</v>
      </c>
      <c r="I81" s="15">
        <f>SUM(I76:I80)</f>
        <v>2.1866692397660819</v>
      </c>
    </row>
    <row r="82" spans="1:9" ht="15.75" thickBot="1" x14ac:dyDescent="0.3">
      <c r="B82">
        <v>4</v>
      </c>
      <c r="C82" t="s">
        <v>32</v>
      </c>
      <c r="D82" s="17">
        <v>516000</v>
      </c>
      <c r="E82" s="23"/>
      <c r="F82" s="23"/>
      <c r="G82" s="23"/>
      <c r="H82" s="24"/>
      <c r="I82" s="24"/>
    </row>
    <row r="83" spans="1:9" ht="15.75" thickBot="1" x14ac:dyDescent="0.3">
      <c r="B83">
        <v>5</v>
      </c>
      <c r="C83" t="s">
        <v>44</v>
      </c>
      <c r="D83" s="29">
        <f>SUM(F76:F79)*0.01</f>
        <v>10169.200000000001</v>
      </c>
      <c r="E83" s="23"/>
      <c r="F83" s="23"/>
      <c r="G83" s="23"/>
      <c r="H83" s="24"/>
      <c r="I83" s="24"/>
    </row>
    <row r="84" spans="1:9" x14ac:dyDescent="0.25">
      <c r="E84" s="23"/>
      <c r="F84" s="23"/>
      <c r="G84" s="23"/>
      <c r="H84" s="24"/>
      <c r="I84" s="24"/>
    </row>
    <row r="85" spans="1:9" x14ac:dyDescent="0.25">
      <c r="A85" s="21" t="s">
        <v>38</v>
      </c>
      <c r="B85" s="21"/>
      <c r="C85" s="21"/>
      <c r="D85" s="22"/>
      <c r="E85" s="23"/>
      <c r="F85" s="23"/>
      <c r="G85" s="23"/>
      <c r="H85" s="24"/>
      <c r="I85" s="24"/>
    </row>
    <row r="86" spans="1:9" x14ac:dyDescent="0.25">
      <c r="A86" s="21"/>
      <c r="B86" s="21"/>
      <c r="C86" s="21" t="s">
        <v>99</v>
      </c>
      <c r="D86" s="25">
        <f>55000+55000+55000+25000</f>
        <v>190000</v>
      </c>
    </row>
    <row r="87" spans="1:9" x14ac:dyDescent="0.25">
      <c r="A87" s="21"/>
      <c r="B87" s="21"/>
      <c r="C87" s="21" t="s">
        <v>35</v>
      </c>
      <c r="D87" s="22">
        <v>4.5</v>
      </c>
    </row>
    <row r="88" spans="1:9" x14ac:dyDescent="0.25">
      <c r="A88" s="21"/>
      <c r="B88" s="21"/>
      <c r="C88" s="21" t="s">
        <v>43</v>
      </c>
      <c r="D88" s="22">
        <v>0.66</v>
      </c>
    </row>
  </sheetData>
  <mergeCells count="2">
    <mergeCell ref="I2:K2"/>
    <mergeCell ref="E2:F2"/>
  </mergeCells>
  <conditionalFormatting sqref="F49:F57">
    <cfRule type="cellIs" dxfId="0" priority="1" operator="greaterThan">
      <formula>0</formula>
    </cfRule>
  </conditionalFormatting>
  <pageMargins left="0.25" right="0.25" top="0.75" bottom="0.75" header="0.3" footer="0.3"/>
  <pageSetup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12E1C51820DC438B0EE4E9456E6E48" ma:contentTypeVersion="3" ma:contentTypeDescription="Create a new document." ma:contentTypeScope="" ma:versionID="4bdd4b6f94cb68ee90ad0a24f3bbb016">
  <xsd:schema xmlns:xsd="http://www.w3.org/2001/XMLSchema" xmlns:xs="http://www.w3.org/2001/XMLSchema" xmlns:p="http://schemas.microsoft.com/office/2006/metadata/properties" xmlns:ns2="18bd4c3f-a4f2-4e0b-a3e7-155bda212c1e" targetNamespace="http://schemas.microsoft.com/office/2006/metadata/properties" ma:root="true" ma:fieldsID="c87d8435657b2fd8ed7f0d41f1e583de" ns2:_="">
    <xsd:import namespace="18bd4c3f-a4f2-4e0b-a3e7-155bda212c1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bd4c3f-a4f2-4e0b-a3e7-155bda212c1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AB2E2D404627469530C35E665ABACD" ma:contentTypeVersion="5" ma:contentTypeDescription="Create a new document." ma:contentTypeScope="" ma:versionID="2c0c97b2ee1898a101fe1530cad3fac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bdce857514447a0c1349bf2ece187a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EF06F2-4A11-4F9A-BAD5-E0ECE34019C7}"/>
</file>

<file path=customXml/itemProps2.xml><?xml version="1.0" encoding="utf-8"?>
<ds:datastoreItem xmlns:ds="http://schemas.openxmlformats.org/officeDocument/2006/customXml" ds:itemID="{33079F02-FE8E-4853-AA06-F71257FB4BFA}"/>
</file>

<file path=customXml/itemProps3.xml><?xml version="1.0" encoding="utf-8"?>
<ds:datastoreItem xmlns:ds="http://schemas.openxmlformats.org/officeDocument/2006/customXml" ds:itemID="{ECBA2C20-916C-4808-B1D8-EBE16B22DFE1}"/>
</file>

<file path=customXml/itemProps4.xml><?xml version="1.0" encoding="utf-8"?>
<ds:datastoreItem xmlns:ds="http://schemas.openxmlformats.org/officeDocument/2006/customXml" ds:itemID="{DEADEE94-6966-4FF7-AF74-7758B3CCDC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UDOH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DOH</dc:creator>
  <cp:lastModifiedBy>stephanie.chester</cp:lastModifiedBy>
  <cp:lastPrinted>2013-07-25T16:55:51Z</cp:lastPrinted>
  <dcterms:created xsi:type="dcterms:W3CDTF">2012-04-11T20:06:37Z</dcterms:created>
  <dcterms:modified xsi:type="dcterms:W3CDTF">2014-07-09T12:41:12Z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0x0101000DAB2E2D404627469530C35E665ABACD</vt:lpwstr>
  </property>
  <property fmtid="{D5CDD505-2E9C-101B-9397-08002B2CF9AE}" pid="3" name="_dlc_DocIdItemGuid">
    <vt:lpwstr>91316c6b-6021-4fba-a909-5fe820291992</vt:lpwstr>
  </property>
  <property fmtid="{D5CDD505-2E9C-101B-9397-08002B2CF9AE}" pid="4" name="Page Title">
    <vt:lpwstr/>
  </property>
</Properties>
</file>